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<sst xmlns="http://schemas.openxmlformats.org/spreadsheetml/2006/main" count="1600" uniqueCount="315">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</sst>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311</v>
      </c>
      <c r="N3" s="241" t="s">
        <v>312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307</v>
      </c>
      <c r="F4" s="243" t="s">
        <v>116</v>
      </c>
      <c r="G4" s="245" t="s">
        <v>308</v>
      </c>
      <c r="H4" s="247" t="s">
        <v>309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314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310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504022.54999999993</v>
      </c>
      <c r="G8" s="18">
        <f aca="true" t="shared" si="0" ref="G8:G54">F8-E8</f>
        <v>497.0799999998999</v>
      </c>
      <c r="H8" s="45">
        <f>F8/E8*100</f>
        <v>100.09871993168487</v>
      </c>
      <c r="I8" s="31">
        <f aca="true" t="shared" si="1" ref="I8:I54">F8-D8</f>
        <v>-68266.45000000007</v>
      </c>
      <c r="J8" s="31">
        <f aca="true" t="shared" si="2" ref="J8:J14">F8/D8*100</f>
        <v>88.0713328405753</v>
      </c>
      <c r="K8" s="18">
        <f>K9+K15+K18+K19+K20+K32</f>
        <v>102797.75799999999</v>
      </c>
      <c r="L8" s="18"/>
      <c r="M8" s="18">
        <f>M9+M15+M18+M19+M20+M32+M17</f>
        <v>44772.97000000001</v>
      </c>
      <c r="N8" s="18">
        <f>N9+N15+N18+N19+N20+N32+N17</f>
        <v>23143.300000000003</v>
      </c>
      <c r="O8" s="31">
        <f aca="true" t="shared" si="3" ref="O8:O54">N8-M8</f>
        <v>-21629.670000000006</v>
      </c>
      <c r="P8" s="31">
        <f>F8/M8*100</f>
        <v>1125.7295417301998</v>
      </c>
      <c r="Q8" s="31">
        <f>N8-33748.16</f>
        <v>-10604.86</v>
      </c>
      <c r="R8" s="125">
        <f>N8/33748.16</f>
        <v>0.6857647942880442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280362.73</v>
      </c>
      <c r="G9" s="43">
        <f t="shared" si="0"/>
        <v>10497.609999999986</v>
      </c>
      <c r="H9" s="35">
        <f aca="true" t="shared" si="4" ref="H9:H32">F9/E9*100</f>
        <v>103.88994694831256</v>
      </c>
      <c r="I9" s="50">
        <f t="shared" si="1"/>
        <v>-32327.27000000002</v>
      </c>
      <c r="J9" s="50">
        <f t="shared" si="2"/>
        <v>89.66155937190187</v>
      </c>
      <c r="K9" s="132">
        <f>F9-316022.19/75*60</f>
        <v>27544.977999999974</v>
      </c>
      <c r="L9" s="132">
        <f>F9/(316022.19/75*60)*100</f>
        <v>110.89519141045126</v>
      </c>
      <c r="M9" s="35">
        <f>E9-вересень!E9</f>
        <v>21250.570000000007</v>
      </c>
      <c r="N9" s="35">
        <f>F9-вересень!F9</f>
        <v>15987.320000000007</v>
      </c>
      <c r="O9" s="47">
        <f t="shared" si="3"/>
        <v>-5263.25</v>
      </c>
      <c r="P9" s="50">
        <f aca="true" t="shared" si="5" ref="P9:P32">N9/M9*100</f>
        <v>75.23242905954994</v>
      </c>
      <c r="Q9" s="132">
        <f>N9-26568.11</f>
        <v>-10580.789999999994</v>
      </c>
      <c r="R9" s="133">
        <f>N9/26568.11</f>
        <v>0.6017484871900939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248456.95</v>
      </c>
      <c r="G10" s="135">
        <f t="shared" si="0"/>
        <v>12496.130000000005</v>
      </c>
      <c r="H10" s="137">
        <f t="shared" si="4"/>
        <v>105.2958495397668</v>
      </c>
      <c r="I10" s="136">
        <f t="shared" si="1"/>
        <v>8046.950000000012</v>
      </c>
      <c r="J10" s="136">
        <f t="shared" si="2"/>
        <v>103.34717773803087</v>
      </c>
      <c r="K10" s="138">
        <f>F10-281171.58/75*60</f>
        <v>23519.686000000016</v>
      </c>
      <c r="L10" s="138">
        <f>F10/(281171.58/75*60)*100</f>
        <v>110.45610921985786</v>
      </c>
      <c r="M10" s="137">
        <f>E10-вересень!E10</f>
        <v>17470.570000000007</v>
      </c>
      <c r="N10" s="137">
        <f>F10-вересень!F10</f>
        <v>14520.470000000001</v>
      </c>
      <c r="O10" s="138">
        <f t="shared" si="3"/>
        <v>-2950.100000000006</v>
      </c>
      <c r="P10" s="136">
        <f t="shared" si="5"/>
        <v>83.11388809867105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14475.14</v>
      </c>
      <c r="G11" s="135">
        <f t="shared" si="0"/>
        <v>-4442.760000000002</v>
      </c>
      <c r="H11" s="137">
        <f t="shared" si="4"/>
        <v>76.5155751959784</v>
      </c>
      <c r="I11" s="136">
        <f t="shared" si="1"/>
        <v>-9224.86</v>
      </c>
      <c r="J11" s="136">
        <f t="shared" si="2"/>
        <v>61.076540084388185</v>
      </c>
      <c r="K11" s="138">
        <f>F11-21169.22/75*60</f>
        <v>-2460.2360000000044</v>
      </c>
      <c r="L11" s="138">
        <f>F11/(21169.22/75*60)*100</f>
        <v>85.4727996591277</v>
      </c>
      <c r="M11" s="137">
        <f>E11-вересень!E11</f>
        <v>2130</v>
      </c>
      <c r="N11" s="137">
        <f>F11-вересень!F11</f>
        <v>472.4499999999989</v>
      </c>
      <c r="O11" s="138">
        <f t="shared" si="3"/>
        <v>-1657.550000000001</v>
      </c>
      <c r="P11" s="136">
        <f t="shared" si="5"/>
        <v>22.180751173708867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3956.44</v>
      </c>
      <c r="G12" s="135">
        <f t="shared" si="0"/>
        <v>-492.55999999999995</v>
      </c>
      <c r="H12" s="137">
        <f t="shared" si="4"/>
        <v>88.9287480332659</v>
      </c>
      <c r="I12" s="136">
        <f t="shared" si="1"/>
        <v>-1843.56</v>
      </c>
      <c r="J12" s="136">
        <f t="shared" si="2"/>
        <v>68.21448275862069</v>
      </c>
      <c r="K12" s="138">
        <f>F12-5687.46/75*60</f>
        <v>-593.5280000000007</v>
      </c>
      <c r="L12" s="138">
        <f>F12/(5687.46*60)*100</f>
        <v>1.1594044910499006</v>
      </c>
      <c r="M12" s="137">
        <f>E12-вересень!E12</f>
        <v>540</v>
      </c>
      <c r="N12" s="137">
        <f>F12-вересень!F12</f>
        <v>211.80000000000018</v>
      </c>
      <c r="O12" s="138">
        <f t="shared" si="3"/>
        <v>-328.1999999999998</v>
      </c>
      <c r="P12" s="136">
        <f t="shared" si="5"/>
        <v>39.22222222222226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5911.64</v>
      </c>
      <c r="G13" s="135">
        <f t="shared" si="0"/>
        <v>-1031.7599999999993</v>
      </c>
      <c r="H13" s="137">
        <f t="shared" si="4"/>
        <v>85.14042111933637</v>
      </c>
      <c r="I13" s="136">
        <f t="shared" si="1"/>
        <v>-2488.3599999999997</v>
      </c>
      <c r="J13" s="136">
        <f t="shared" si="2"/>
        <v>70.37666666666667</v>
      </c>
      <c r="K13" s="138">
        <f>F13-7878.81/75*60</f>
        <v>-391.40800000000036</v>
      </c>
      <c r="L13" s="138">
        <f>F13/(7878.81/75*60)*100</f>
        <v>93.79017897372826</v>
      </c>
      <c r="M13" s="137">
        <f>E13-вересень!E13</f>
        <v>720</v>
      </c>
      <c r="N13" s="137">
        <f>F13-вересень!F13</f>
        <v>181.40000000000055</v>
      </c>
      <c r="O13" s="138">
        <f t="shared" si="3"/>
        <v>-538.5999999999995</v>
      </c>
      <c r="P13" s="136">
        <f t="shared" si="5"/>
        <v>25.19444444444452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7562.57</v>
      </c>
      <c r="G14" s="135">
        <f t="shared" si="0"/>
        <v>3968.5699999999997</v>
      </c>
      <c r="H14" s="137">
        <f t="shared" si="4"/>
        <v>210.4220923761825</v>
      </c>
      <c r="I14" s="136">
        <f t="shared" si="1"/>
        <v>3182.5699999999997</v>
      </c>
      <c r="J14" s="136">
        <f t="shared" si="2"/>
        <v>172.66141552511417</v>
      </c>
      <c r="K14" s="138">
        <f>F14-115.12/75*60</f>
        <v>7470.474</v>
      </c>
      <c r="L14" s="138">
        <f>F14/(115.12/75*60)*100</f>
        <v>8211.616139680333</v>
      </c>
      <c r="M14" s="137">
        <f>E14-вересень!E14</f>
        <v>390</v>
      </c>
      <c r="N14" s="137">
        <f>F14-вересень!F14</f>
        <v>601.21</v>
      </c>
      <c r="O14" s="138">
        <f t="shared" si="3"/>
        <v>211.21000000000004</v>
      </c>
      <c r="P14" s="136">
        <f t="shared" si="5"/>
        <v>154.15641025641028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-614.03</v>
      </c>
      <c r="G15" s="43">
        <f t="shared" si="0"/>
        <v>-785.43</v>
      </c>
      <c r="H15" s="35"/>
      <c r="I15" s="50">
        <f t="shared" si="1"/>
        <v>-614.03</v>
      </c>
      <c r="J15" s="50" t="e">
        <f>F15/D15*100</f>
        <v>#DIV/0!</v>
      </c>
      <c r="K15" s="53">
        <f>F15-(-880.89)</f>
        <v>266.86</v>
      </c>
      <c r="L15" s="53">
        <f>F15/(-880.89)*100</f>
        <v>69.70563861549115</v>
      </c>
      <c r="M15" s="35">
        <f>E15-вересень!E15</f>
        <v>0</v>
      </c>
      <c r="N15" s="35">
        <f>F15-вересень!F15</f>
        <v>52.66000000000008</v>
      </c>
      <c r="O15" s="47">
        <f t="shared" si="3"/>
        <v>52.66000000000008</v>
      </c>
      <c r="P15" s="50"/>
      <c r="Q15" s="50">
        <f>N15-358.81</f>
        <v>-306.1499999999999</v>
      </c>
      <c r="R15" s="126">
        <f>N15/358.81</f>
        <v>0.14676291073269998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F17-0.04</f>
        <v>0.049999999999999996</v>
      </c>
      <c r="L17" s="138"/>
      <c r="M17" s="35">
        <f>E17-вересень!E17</f>
        <v>0</v>
      </c>
      <c r="N17" s="35">
        <f>F17-вересень!F17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51853.24</v>
      </c>
      <c r="G19" s="43">
        <f t="shared" si="0"/>
        <v>-5669.510000000002</v>
      </c>
      <c r="H19" s="35">
        <f t="shared" si="4"/>
        <v>90.14388220312833</v>
      </c>
      <c r="I19" s="50">
        <f t="shared" si="1"/>
        <v>-10356.760000000002</v>
      </c>
      <c r="J19" s="178">
        <f>F19/D19*100</f>
        <v>83.35193698762257</v>
      </c>
      <c r="K19" s="179">
        <f>F19-0</f>
        <v>51853.24</v>
      </c>
      <c r="L19" s="180"/>
      <c r="M19" s="35">
        <f>E19-вересень!E19</f>
        <v>6800</v>
      </c>
      <c r="N19" s="35">
        <f>F19-вересень!F19</f>
        <v>384.36999999999534</v>
      </c>
      <c r="O19" s="47">
        <f t="shared" si="3"/>
        <v>-6415.630000000005</v>
      </c>
      <c r="P19" s="50">
        <f t="shared" si="5"/>
        <v>5.6524999999999315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166820.81</v>
      </c>
      <c r="G20" s="43">
        <f t="shared" si="0"/>
        <v>-3373.0899999999965</v>
      </c>
      <c r="H20" s="35">
        <f t="shared" si="4"/>
        <v>98.0180899550454</v>
      </c>
      <c r="I20" s="50">
        <f t="shared" si="1"/>
        <v>-23049.190000000002</v>
      </c>
      <c r="J20" s="178">
        <f aca="true" t="shared" si="6" ref="J20:J46">F20/D20*100</f>
        <v>87.86054142307896</v>
      </c>
      <c r="K20" s="178">
        <f>K21+K25+K26+K27</f>
        <v>24915.24000000002</v>
      </c>
      <c r="L20" s="136"/>
      <c r="M20" s="35">
        <f>E20-вересень!E20</f>
        <v>16715.5</v>
      </c>
      <c r="N20" s="35">
        <f>F20-вересень!F20</f>
        <v>6714.220000000001</v>
      </c>
      <c r="O20" s="47">
        <f t="shared" si="3"/>
        <v>-10001.279999999999</v>
      </c>
      <c r="P20" s="50">
        <f t="shared" si="5"/>
        <v>40.1676288474769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90811.47</v>
      </c>
      <c r="G21" s="43">
        <f t="shared" si="0"/>
        <v>-5470.929999999993</v>
      </c>
      <c r="H21" s="35">
        <f t="shared" si="4"/>
        <v>94.31782963449187</v>
      </c>
      <c r="I21" s="50">
        <f t="shared" si="1"/>
        <v>-19488.53</v>
      </c>
      <c r="J21" s="178">
        <f t="shared" si="6"/>
        <v>82.33134179510427</v>
      </c>
      <c r="K21" s="178">
        <f>K22+K23+K24</f>
        <v>22107.630000000012</v>
      </c>
      <c r="L21" s="136"/>
      <c r="M21" s="35">
        <f>E21-вересень!E21</f>
        <v>10382</v>
      </c>
      <c r="N21" s="35">
        <f>F21-вересень!F21</f>
        <v>1832.1500000000087</v>
      </c>
      <c r="O21" s="47">
        <f t="shared" si="3"/>
        <v>-8549.849999999991</v>
      </c>
      <c r="P21" s="50">
        <f t="shared" si="5"/>
        <v>17.64737044885387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9716.41</v>
      </c>
      <c r="G22" s="135">
        <f t="shared" si="0"/>
        <v>-928.9899999999998</v>
      </c>
      <c r="H22" s="137">
        <f t="shared" si="4"/>
        <v>91.27331993161366</v>
      </c>
      <c r="I22" s="136">
        <f t="shared" si="1"/>
        <v>-983.5900000000001</v>
      </c>
      <c r="J22" s="136">
        <f t="shared" si="6"/>
        <v>90.80757009345794</v>
      </c>
      <c r="K22" s="136">
        <f>F22-437</f>
        <v>9279.41</v>
      </c>
      <c r="L22" s="136">
        <f>F22/437*100</f>
        <v>2223.4347826086955</v>
      </c>
      <c r="M22" s="137">
        <f>E22-вересень!E22</f>
        <v>1851</v>
      </c>
      <c r="N22" s="137">
        <f>F22-вересень!F22</f>
        <v>584.7299999999996</v>
      </c>
      <c r="O22" s="138">
        <f t="shared" si="3"/>
        <v>-1266.2700000000004</v>
      </c>
      <c r="P22" s="136">
        <f t="shared" si="5"/>
        <v>31.58995137763369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3375.74</v>
      </c>
      <c r="G23" s="135">
        <f t="shared" si="0"/>
        <v>1283.7399999999998</v>
      </c>
      <c r="H23" s="137">
        <f t="shared" si="4"/>
        <v>161.3642447418738</v>
      </c>
      <c r="I23" s="136">
        <f t="shared" si="1"/>
        <v>1275.7399999999998</v>
      </c>
      <c r="J23" s="136">
        <f t="shared" si="6"/>
        <v>160.74952380952382</v>
      </c>
      <c r="K23" s="136">
        <f>F23-0</f>
        <v>3375.74</v>
      </c>
      <c r="L23" s="136"/>
      <c r="M23" s="137">
        <f>E23-вересень!E23</f>
        <v>305</v>
      </c>
      <c r="N23" s="137">
        <f>F23-вересень!F23</f>
        <v>42.10999999999967</v>
      </c>
      <c r="O23" s="138">
        <f t="shared" si="3"/>
        <v>-262.8900000000003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77719.32</v>
      </c>
      <c r="G24" s="135">
        <f t="shared" si="0"/>
        <v>-5825.679999999993</v>
      </c>
      <c r="H24" s="137">
        <f t="shared" si="4"/>
        <v>93.02689568496021</v>
      </c>
      <c r="I24" s="136">
        <f t="shared" si="1"/>
        <v>-19780.679999999993</v>
      </c>
      <c r="J24" s="136">
        <f t="shared" si="6"/>
        <v>79.71212307692308</v>
      </c>
      <c r="K24" s="224">
        <f>F24-68266.84</f>
        <v>9452.48000000001</v>
      </c>
      <c r="L24" s="224">
        <f>F24/68266.84*100</f>
        <v>113.84637109319841</v>
      </c>
      <c r="M24" s="137">
        <f>E24-вересень!E24</f>
        <v>8226</v>
      </c>
      <c r="N24" s="137">
        <f>F24-вересень!F24</f>
        <v>1205.3100000000122</v>
      </c>
      <c r="O24" s="138">
        <f t="shared" si="3"/>
        <v>-7020.689999999988</v>
      </c>
      <c r="P24" s="136">
        <f t="shared" si="5"/>
        <v>14.652443471918456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55.85</v>
      </c>
      <c r="G25" s="43">
        <f t="shared" si="0"/>
        <v>4.350000000000001</v>
      </c>
      <c r="H25" s="35">
        <f t="shared" si="4"/>
        <v>108.44660194174757</v>
      </c>
      <c r="I25" s="50">
        <f t="shared" si="1"/>
        <v>-14.149999999999999</v>
      </c>
      <c r="J25" s="178">
        <f t="shared" si="6"/>
        <v>79.78571428571429</v>
      </c>
      <c r="K25" s="178">
        <f>F25-48.79</f>
        <v>7.060000000000002</v>
      </c>
      <c r="L25" s="178">
        <f>F25/48.79*100</f>
        <v>114.47017831522854</v>
      </c>
      <c r="M25" s="35">
        <f>E25-вересень!E25</f>
        <v>10</v>
      </c>
      <c r="N25" s="35">
        <f>F25-вересень!F25</f>
        <v>0</v>
      </c>
      <c r="O25" s="47">
        <f t="shared" si="3"/>
        <v>-10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-729.25</v>
      </c>
      <c r="G26" s="43">
        <f t="shared" si="0"/>
        <v>-729.25</v>
      </c>
      <c r="H26" s="35"/>
      <c r="I26" s="50">
        <f t="shared" si="1"/>
        <v>-729.25</v>
      </c>
      <c r="J26" s="136"/>
      <c r="K26" s="178">
        <f>F26-5295.66</f>
        <v>-6024.91</v>
      </c>
      <c r="L26" s="178">
        <f>F26/5295.66*100</f>
        <v>-13.770710355272053</v>
      </c>
      <c r="M26" s="35">
        <f>E26-вересень!E26</f>
        <v>0</v>
      </c>
      <c r="N26" s="35">
        <f>F26-вересень!F26</f>
        <v>-23.269999999999982</v>
      </c>
      <c r="O26" s="47">
        <f t="shared" si="3"/>
        <v>-23.269999999999982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76682.74</v>
      </c>
      <c r="G27" s="43">
        <f t="shared" si="0"/>
        <v>2822.7400000000052</v>
      </c>
      <c r="H27" s="35">
        <f t="shared" si="4"/>
        <v>103.82174383969674</v>
      </c>
      <c r="I27" s="50">
        <f t="shared" si="1"/>
        <v>-2817.2599999999948</v>
      </c>
      <c r="J27" s="178">
        <f t="shared" si="6"/>
        <v>96.45627672955975</v>
      </c>
      <c r="K27" s="132">
        <f>F27-67857.28</f>
        <v>8825.460000000006</v>
      </c>
      <c r="L27" s="132">
        <f>F27/67857.28*100</f>
        <v>113.00591476699333</v>
      </c>
      <c r="M27" s="35">
        <f>E27-вересень!E27</f>
        <v>6323.5</v>
      </c>
      <c r="N27" s="35">
        <f>F27-вересень!F27</f>
        <v>4905.340000000011</v>
      </c>
      <c r="O27" s="47">
        <f t="shared" si="3"/>
        <v>-1418.159999999989</v>
      </c>
      <c r="P27" s="50">
        <f t="shared" si="5"/>
        <v>77.57317941013696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18327.77</v>
      </c>
      <c r="G29" s="135">
        <f t="shared" si="0"/>
        <v>247.77000000000044</v>
      </c>
      <c r="H29" s="137">
        <f t="shared" si="4"/>
        <v>101.3704092920354</v>
      </c>
      <c r="I29" s="136">
        <f t="shared" si="1"/>
        <v>-872.2299999999996</v>
      </c>
      <c r="J29" s="136">
        <f t="shared" si="6"/>
        <v>95.45713541666667</v>
      </c>
      <c r="K29" s="139">
        <f>F29-18415.97</f>
        <v>-88.20000000000073</v>
      </c>
      <c r="L29" s="139">
        <f>F29/18415.97*100</f>
        <v>99.52106785577952</v>
      </c>
      <c r="M29" s="137">
        <f>E29-вересень!E29</f>
        <v>1300</v>
      </c>
      <c r="N29" s="137">
        <f>F29-вересень!F29</f>
        <v>588.010000000002</v>
      </c>
      <c r="O29" s="138">
        <f t="shared" si="3"/>
        <v>-711.989999999998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58333.31</v>
      </c>
      <c r="G30" s="135">
        <f t="shared" si="0"/>
        <v>2553.3099999999977</v>
      </c>
      <c r="H30" s="137">
        <f t="shared" si="4"/>
        <v>104.57746504123342</v>
      </c>
      <c r="I30" s="136">
        <f t="shared" si="1"/>
        <v>-1966.6900000000023</v>
      </c>
      <c r="J30" s="136">
        <f t="shared" si="6"/>
        <v>96.73849087893863</v>
      </c>
      <c r="K30" s="139">
        <f>F30-49440.11</f>
        <v>8893.199999999997</v>
      </c>
      <c r="L30" s="139">
        <f>F30/49440.11*100</f>
        <v>117.98782405621671</v>
      </c>
      <c r="M30" s="137">
        <f>E30-вересень!E30</f>
        <v>5023.5</v>
      </c>
      <c r="N30" s="137">
        <f>F30-вересень!F30</f>
        <v>4317.3399999999965</v>
      </c>
      <c r="O30" s="138">
        <f t="shared" si="3"/>
        <v>-706.1600000000035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E31-вересень!E31</f>
        <v>0</v>
      </c>
      <c r="N31" s="137">
        <f>F31-вересень!F31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5583.91</v>
      </c>
      <c r="G32" s="43">
        <f t="shared" si="0"/>
        <v>-175.39000000000033</v>
      </c>
      <c r="H32" s="35">
        <f t="shared" si="4"/>
        <v>96.95466462938204</v>
      </c>
      <c r="I32" s="50">
        <f t="shared" si="1"/>
        <v>-1916.0900000000001</v>
      </c>
      <c r="J32" s="178">
        <f t="shared" si="6"/>
        <v>74.45213333333334</v>
      </c>
      <c r="K32" s="178">
        <f>F32-7378.96</f>
        <v>-1795.0500000000002</v>
      </c>
      <c r="L32" s="178">
        <f>F32/7378.96*100</f>
        <v>75.67340112969849</v>
      </c>
      <c r="M32" s="35">
        <f>E32-вересень!E32</f>
        <v>6.900000000000546</v>
      </c>
      <c r="N32" s="35">
        <f>F32-вересень!F32</f>
        <v>4.729999999999563</v>
      </c>
      <c r="O32" s="47">
        <f t="shared" si="3"/>
        <v>-2.1700000000009823</v>
      </c>
      <c r="P32" s="50">
        <f t="shared" si="5"/>
        <v>68.55072463766942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34237.84</v>
      </c>
      <c r="G33" s="44">
        <f t="shared" si="0"/>
        <v>1687.569999999996</v>
      </c>
      <c r="H33" s="45">
        <f aca="true" t="shared" si="7" ref="H33:H38">F33/E33*100</f>
        <v>105.18450384589744</v>
      </c>
      <c r="I33" s="31">
        <f t="shared" si="1"/>
        <v>-1401.7300000000032</v>
      </c>
      <c r="J33" s="31">
        <f t="shared" si="6"/>
        <v>96.06692785575135</v>
      </c>
      <c r="K33" s="18">
        <f>K34+K35+K36+K37+K38+K41+K42+K47+K48+K52+K40</f>
        <v>23449.670000000002</v>
      </c>
      <c r="L33" s="18"/>
      <c r="M33" s="18">
        <f>M34+M35+M36+M37+M38+M41+M42+M47+M48+M52+M40+M39</f>
        <v>5900.27</v>
      </c>
      <c r="N33" s="18">
        <f>N34+N35+N36+N37+N38+N41+N42+N47+N48+N52+N40+N39</f>
        <v>5993.209999999999</v>
      </c>
      <c r="O33" s="49">
        <f t="shared" si="3"/>
        <v>92.93999999999869</v>
      </c>
      <c r="P33" s="31">
        <f>N33/M33*100</f>
        <v>101.57518215268114</v>
      </c>
      <c r="Q33" s="31">
        <f>N33-1017.63</f>
        <v>4975.579999999999</v>
      </c>
      <c r="R33" s="127">
        <f>N33/1017.63</f>
        <v>5.8893802266049535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E34-вересень!E34</f>
        <v>0</v>
      </c>
      <c r="N34" s="35">
        <f>F34-вересень!F34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330.71</v>
      </c>
      <c r="G36" s="43">
        <f t="shared" si="0"/>
        <v>90.70999999999998</v>
      </c>
      <c r="H36" s="35">
        <f t="shared" si="7"/>
        <v>137.79583333333332</v>
      </c>
      <c r="I36" s="50">
        <f t="shared" si="1"/>
        <v>90.70999999999998</v>
      </c>
      <c r="J36" s="50"/>
      <c r="K36" s="50">
        <f>F36-279.6</f>
        <v>51.10999999999996</v>
      </c>
      <c r="L36" s="50">
        <f>F36/279.6*100</f>
        <v>118.2796852646638</v>
      </c>
      <c r="M36" s="35">
        <f>E36-вересень!E36</f>
        <v>0</v>
      </c>
      <c r="N36" s="35">
        <f>F36-вересень!F36</f>
        <v>8.729999999999961</v>
      </c>
      <c r="O36" s="47">
        <f t="shared" si="3"/>
        <v>8.729999999999961</v>
      </c>
      <c r="P36" s="50"/>
      <c r="Q36" s="50">
        <f>N36-4.23</f>
        <v>4.499999999999961</v>
      </c>
      <c r="R36" s="126">
        <f>N36/4.23</f>
        <v>2.063829787234033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119.65</v>
      </c>
      <c r="G38" s="43">
        <f t="shared" si="0"/>
        <v>-0.3499999999999943</v>
      </c>
      <c r="H38" s="35">
        <f t="shared" si="7"/>
        <v>99.70833333333334</v>
      </c>
      <c r="I38" s="50">
        <f t="shared" si="1"/>
        <v>-20.349999999999994</v>
      </c>
      <c r="J38" s="50">
        <f t="shared" si="6"/>
        <v>85.46428571428571</v>
      </c>
      <c r="K38" s="50">
        <f>F38-112.45</f>
        <v>7.200000000000003</v>
      </c>
      <c r="L38" s="50">
        <f>F38/112.45*100</f>
        <v>106.40284570920409</v>
      </c>
      <c r="M38" s="35">
        <f>E38-вересень!E38</f>
        <v>15</v>
      </c>
      <c r="N38" s="35">
        <f>F38-вересень!F38</f>
        <v>2.5400000000000063</v>
      </c>
      <c r="O38" s="47">
        <f t="shared" si="3"/>
        <v>-12.459999999999994</v>
      </c>
      <c r="P38" s="50">
        <f>N38/M38*100</f>
        <v>16.933333333333376</v>
      </c>
      <c r="Q38" s="50">
        <f>N38-9.02</f>
        <v>-6.479999999999993</v>
      </c>
      <c r="R38" s="126">
        <f>N38/9.02</f>
        <v>0.28159645232816033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E39-вересень!E39</f>
        <v>0</v>
      </c>
      <c r="N39" s="35">
        <f>F39-вересень!F39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8015.19</v>
      </c>
      <c r="G40" s="43">
        <f t="shared" si="0"/>
        <v>-821.8100000000004</v>
      </c>
      <c r="H40" s="35">
        <f aca="true" t="shared" si="8" ref="H40:H46">F40/E40*100</f>
        <v>90.70035079778205</v>
      </c>
      <c r="I40" s="50">
        <f t="shared" si="1"/>
        <v>-984.8100000000004</v>
      </c>
      <c r="J40" s="50"/>
      <c r="K40" s="50">
        <f>F40-0</f>
        <v>8015.19</v>
      </c>
      <c r="L40" s="50"/>
      <c r="M40" s="35">
        <f>E40-вересень!E40</f>
        <v>900</v>
      </c>
      <c r="N40" s="35">
        <f>F40-вересень!F40</f>
        <v>409.72999999999956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5957.38</v>
      </c>
      <c r="G42" s="43">
        <f t="shared" si="0"/>
        <v>-433.9200000000001</v>
      </c>
      <c r="H42" s="35">
        <f t="shared" si="8"/>
        <v>93.21077089168088</v>
      </c>
      <c r="I42" s="50">
        <f t="shared" si="1"/>
        <v>-1142.62</v>
      </c>
      <c r="J42" s="50">
        <f t="shared" si="6"/>
        <v>83.90676056338027</v>
      </c>
      <c r="K42" s="50">
        <f>F42-865.17</f>
        <v>5092.21</v>
      </c>
      <c r="L42" s="50">
        <f>F42/865.17*100</f>
        <v>688.5791231781038</v>
      </c>
      <c r="M42" s="35">
        <f>E42-вересень!E42</f>
        <v>592.3000000000002</v>
      </c>
      <c r="N42" s="35">
        <f>F42-вересень!F42</f>
        <v>235.4300000000003</v>
      </c>
      <c r="O42" s="47">
        <f t="shared" si="3"/>
        <v>-356.8699999999999</v>
      </c>
      <c r="P42" s="50">
        <f>N42/M42*100</f>
        <v>39.748438291406416</v>
      </c>
      <c r="Q42" s="50">
        <f>N42-79.51</f>
        <v>155.9200000000003</v>
      </c>
      <c r="R42" s="126">
        <f>N42/79.51</f>
        <v>2.961011193560562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833.22</v>
      </c>
      <c r="G43" s="135">
        <f t="shared" si="0"/>
        <v>-76.77999999999997</v>
      </c>
      <c r="H43" s="35">
        <f t="shared" si="8"/>
        <v>91.56263736263736</v>
      </c>
      <c r="I43" s="136">
        <f t="shared" si="1"/>
        <v>-266.78</v>
      </c>
      <c r="J43" s="136">
        <f t="shared" si="6"/>
        <v>75.74727272727273</v>
      </c>
      <c r="K43" s="136">
        <f>F43-757.36</f>
        <v>75.86000000000001</v>
      </c>
      <c r="L43" s="136">
        <f>F43/757.36*100</f>
        <v>110.0163726629344</v>
      </c>
      <c r="M43" s="137">
        <f>E43-вересень!E43</f>
        <v>70</v>
      </c>
      <c r="N43" s="137">
        <f>F43-вересень!F43</f>
        <v>31.379999999999995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5079.34</v>
      </c>
      <c r="G46" s="135">
        <f t="shared" si="0"/>
        <v>-330.65999999999985</v>
      </c>
      <c r="H46" s="35">
        <f t="shared" si="8"/>
        <v>93.88798521256932</v>
      </c>
      <c r="I46" s="136">
        <f t="shared" si="1"/>
        <v>-838.6599999999999</v>
      </c>
      <c r="J46" s="136">
        <f t="shared" si="6"/>
        <v>85.82865833051707</v>
      </c>
      <c r="K46" s="136">
        <f>F46-107.81</f>
        <v>4971.53</v>
      </c>
      <c r="L46" s="136">
        <f>F46/107.81*100</f>
        <v>4711.381133475559</v>
      </c>
      <c r="M46" s="137">
        <f>E46-вересень!E46</f>
        <v>512</v>
      </c>
      <c r="N46" s="137">
        <f>F46-вересень!F46</f>
        <v>204.05000000000018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3919.58</v>
      </c>
      <c r="G48" s="43">
        <f t="shared" si="0"/>
        <v>469.5799999999999</v>
      </c>
      <c r="H48" s="35">
        <f>F48/E48*100</f>
        <v>113.61101449275361</v>
      </c>
      <c r="I48" s="50">
        <f t="shared" si="1"/>
        <v>-280.4200000000001</v>
      </c>
      <c r="J48" s="50">
        <f>F48/D48*100</f>
        <v>93.32333333333334</v>
      </c>
      <c r="K48" s="50">
        <f>F48-3446.94</f>
        <v>472.6399999999999</v>
      </c>
      <c r="L48" s="50">
        <f>F48/3446.94*100</f>
        <v>113.71187197920474</v>
      </c>
      <c r="M48" s="35">
        <f>E48-вересень!E48</f>
        <v>360</v>
      </c>
      <c r="N48" s="35">
        <f>F48-вересень!F48</f>
        <v>348.1300000000001</v>
      </c>
      <c r="O48" s="47">
        <f t="shared" si="3"/>
        <v>-11.86999999999989</v>
      </c>
      <c r="P48" s="50">
        <f aca="true" t="shared" si="9" ref="P48:P53">N48/M48*100</f>
        <v>96.70277777777781</v>
      </c>
      <c r="Q48" s="50">
        <f>N48-277.38</f>
        <v>70.75000000000011</v>
      </c>
      <c r="R48" s="126">
        <f>N48/277.38</f>
        <v>1.2550652534429307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1032.9</v>
      </c>
      <c r="G51" s="135">
        <f t="shared" si="0"/>
        <v>1032.9</v>
      </c>
      <c r="H51" s="137"/>
      <c r="I51" s="136">
        <f t="shared" si="1"/>
        <v>1032.9</v>
      </c>
      <c r="J51" s="136"/>
      <c r="K51" s="219">
        <f>F51-838.39</f>
        <v>194.5100000000001</v>
      </c>
      <c r="L51" s="219">
        <f>F51/838.39*100</f>
        <v>123.20041985233603</v>
      </c>
      <c r="M51" s="35">
        <f>E51-вересень!E51</f>
        <v>0</v>
      </c>
      <c r="N51" s="35">
        <f>F51-вересень!F51</f>
        <v>53.700000000000045</v>
      </c>
      <c r="O51" s="138">
        <f t="shared" si="3"/>
        <v>53.700000000000045</v>
      </c>
      <c r="P51" s="136"/>
      <c r="Q51" s="50">
        <f>N51-64.93</f>
        <v>-11.229999999999961</v>
      </c>
      <c r="R51" s="126">
        <f>N51/64.93</f>
        <v>0.8270445094717395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538279.12</v>
      </c>
      <c r="G55" s="44">
        <f>F55-E55</f>
        <v>2181.780000000028</v>
      </c>
      <c r="H55" s="45">
        <f>F55/E55*100</f>
        <v>100.40697459905323</v>
      </c>
      <c r="I55" s="31">
        <f>F55-D55</f>
        <v>-69675.94999999995</v>
      </c>
      <c r="J55" s="31">
        <f>F55/D55*100</f>
        <v>88.53929287899516</v>
      </c>
      <c r="K55" s="31">
        <f>K8+K33+K53+K54</f>
        <v>126244.078</v>
      </c>
      <c r="L55" s="31">
        <f>F55/(F55-K55)*100</f>
        <v>130.63916054013677</v>
      </c>
      <c r="M55" s="18">
        <f>M8+M33+M53+M54</f>
        <v>50675.44</v>
      </c>
      <c r="N55" s="18">
        <f>N8+N33+N53+N54</f>
        <v>29140.510000000002</v>
      </c>
      <c r="O55" s="49">
        <f>N55-M55</f>
        <v>-21534.93</v>
      </c>
      <c r="P55" s="31">
        <f>N55/M55*100</f>
        <v>57.50420716623279</v>
      </c>
      <c r="Q55" s="31">
        <f>N55-34768</f>
        <v>-5627.489999999998</v>
      </c>
      <c r="R55" s="171">
        <f>N55/34768</f>
        <v>0.8381416820064428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593.11</v>
      </c>
      <c r="G64" s="43">
        <f t="shared" si="10"/>
        <v>-1006.89</v>
      </c>
      <c r="H64" s="35"/>
      <c r="I64" s="53">
        <f t="shared" si="11"/>
        <v>-1906.8899999999999</v>
      </c>
      <c r="J64" s="53">
        <f t="shared" si="13"/>
        <v>23.724400000000003</v>
      </c>
      <c r="K64" s="53">
        <f>F64-1754.79</f>
        <v>-1161.6799999999998</v>
      </c>
      <c r="L64" s="53">
        <f>F64/1754.79*100</f>
        <v>33.79948597837918</v>
      </c>
      <c r="M64" s="35">
        <f>E64-вересень!E64</f>
        <v>0</v>
      </c>
      <c r="N64" s="35">
        <f>F64-вересень!F64</f>
        <v>0.009999999999990905</v>
      </c>
      <c r="O64" s="47">
        <f t="shared" si="12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7122.63</v>
      </c>
      <c r="G65" s="43">
        <f t="shared" si="10"/>
        <v>386.65000000000055</v>
      </c>
      <c r="H65" s="35">
        <f>F65/E65*100</f>
        <v>105.74007048714516</v>
      </c>
      <c r="I65" s="53">
        <f t="shared" si="11"/>
        <v>-4453.37</v>
      </c>
      <c r="J65" s="53">
        <f t="shared" si="13"/>
        <v>61.52928472702143</v>
      </c>
      <c r="K65" s="53">
        <f>F65-2762.1</f>
        <v>4360.530000000001</v>
      </c>
      <c r="L65" s="53">
        <f>F65/2762.1*100</f>
        <v>257.8700988378408</v>
      </c>
      <c r="M65" s="35">
        <f>E65-вересень!E65</f>
        <v>1273.8199999999997</v>
      </c>
      <c r="N65" s="35">
        <f>F65-вересень!F65</f>
        <v>3135</v>
      </c>
      <c r="O65" s="47">
        <f t="shared" si="12"/>
        <v>1861.1800000000003</v>
      </c>
      <c r="P65" s="53">
        <f>N65/M65*100</f>
        <v>246.1101254494356</v>
      </c>
      <c r="Q65" s="53">
        <f>N65-450.01</f>
        <v>2684.99</v>
      </c>
      <c r="R65" s="129">
        <f>N65/450.01</f>
        <v>6.966511855292104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1859.08</v>
      </c>
      <c r="G66" s="43">
        <f t="shared" si="10"/>
        <v>526.1799999999998</v>
      </c>
      <c r="H66" s="35">
        <f>F66/E66*100</f>
        <v>139.4763298071873</v>
      </c>
      <c r="I66" s="53">
        <f t="shared" si="11"/>
        <v>-1140.92</v>
      </c>
      <c r="J66" s="53">
        <f t="shared" si="13"/>
        <v>61.96933333333333</v>
      </c>
      <c r="K66" s="53">
        <f>F66-1134.02</f>
        <v>725.06</v>
      </c>
      <c r="L66" s="53">
        <f>F66/1134.02*100</f>
        <v>163.93714396571488</v>
      </c>
      <c r="M66" s="35">
        <f>E66-вересень!E66</f>
        <v>148.10000000000014</v>
      </c>
      <c r="N66" s="35">
        <f>F66-вересень!F66</f>
        <v>0</v>
      </c>
      <c r="O66" s="47">
        <f t="shared" si="12"/>
        <v>-148.10000000000014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9574.82</v>
      </c>
      <c r="G67" s="55">
        <f t="shared" si="10"/>
        <v>-94.05999999999949</v>
      </c>
      <c r="H67" s="65">
        <f>F67/E67*100</f>
        <v>99.02718825758517</v>
      </c>
      <c r="I67" s="54">
        <f t="shared" si="11"/>
        <v>-7501.18</v>
      </c>
      <c r="J67" s="54">
        <f t="shared" si="13"/>
        <v>56.071796673694074</v>
      </c>
      <c r="K67" s="54">
        <f>K64+K65+K66</f>
        <v>3923.9100000000008</v>
      </c>
      <c r="L67" s="54"/>
      <c r="M67" s="55">
        <f>M64+M65+M66</f>
        <v>1421.9199999999998</v>
      </c>
      <c r="N67" s="55">
        <f>N64+N65+N66</f>
        <v>3135.01</v>
      </c>
      <c r="O67" s="54">
        <f t="shared" si="12"/>
        <v>1713.0900000000004</v>
      </c>
      <c r="P67" s="54">
        <f>N67/M67*100</f>
        <v>220.47724203893333</v>
      </c>
      <c r="Q67" s="54">
        <f>N67-7985.28</f>
        <v>-4850.2699999999995</v>
      </c>
      <c r="R67" s="173">
        <f>N67/7985.28</f>
        <v>0.3925986314819268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F70-1.29</f>
        <v>-0.29000000000000004</v>
      </c>
      <c r="L70" s="53">
        <f>F70/1.29*100</f>
        <v>77.51937984496124</v>
      </c>
      <c r="M70" s="35">
        <f>E70-вересень!E70</f>
        <v>0</v>
      </c>
      <c r="N70" s="35">
        <f>F70-вересень!F70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1.35</v>
      </c>
      <c r="G71" s="55">
        <f>F71-E71</f>
        <v>-47.65</v>
      </c>
      <c r="H71" s="65">
        <f>F71/E71*100</f>
        <v>2.7551020408163267</v>
      </c>
      <c r="I71" s="54">
        <f>F71-D71</f>
        <v>-52.65</v>
      </c>
      <c r="J71" s="54">
        <f>F71/D71*100</f>
        <v>2.5</v>
      </c>
      <c r="K71" s="54">
        <f>K68+K69+K70</f>
        <v>-54.43</v>
      </c>
      <c r="L71" s="54"/>
      <c r="M71" s="55">
        <f>M68+M70+M69</f>
        <v>12</v>
      </c>
      <c r="N71" s="55">
        <f>N68+N70+N69</f>
        <v>0</v>
      </c>
      <c r="O71" s="54">
        <f>N71-M71</f>
        <v>-12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29.66</v>
      </c>
      <c r="G72" s="43">
        <f>F72-E72</f>
        <v>-3.7600000000000016</v>
      </c>
      <c r="H72" s="35">
        <f>F72/E72*100</f>
        <v>88.74925194494314</v>
      </c>
      <c r="I72" s="53">
        <f>F72-D72</f>
        <v>-12.34</v>
      </c>
      <c r="J72" s="53">
        <f>F72/D72*100</f>
        <v>70.61904761904762</v>
      </c>
      <c r="K72" s="53">
        <f>F72-33.03</f>
        <v>-3.370000000000001</v>
      </c>
      <c r="L72" s="53">
        <f>F72/33.03*100</f>
        <v>89.7971541023312</v>
      </c>
      <c r="M72" s="35">
        <f>E72-вересень!E72</f>
        <v>1.2000000000000028</v>
      </c>
      <c r="N72" s="35">
        <f>F72-вересень!F72</f>
        <v>0.4400000000000013</v>
      </c>
      <c r="O72" s="47">
        <f>N72-M72</f>
        <v>-0.7600000000000016</v>
      </c>
      <c r="P72" s="53">
        <f>N72/M72*100</f>
        <v>36.666666666666686</v>
      </c>
      <c r="Q72" s="53">
        <f>N72-0.45</f>
        <v>-0.009999999999998732</v>
      </c>
      <c r="R72" s="129">
        <f>N72/0.45</f>
        <v>0.9777777777777806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9551.28</v>
      </c>
      <c r="G74" s="44">
        <f>F74-E74</f>
        <v>-200.01999999999862</v>
      </c>
      <c r="H74" s="45">
        <f>F74/E74*100</f>
        <v>97.94878631567074</v>
      </c>
      <c r="I74" s="31">
        <f>F74-D74</f>
        <v>-7620.719999999999</v>
      </c>
      <c r="J74" s="31">
        <f>F74/D74*100</f>
        <v>55.62124388539483</v>
      </c>
      <c r="K74" s="31">
        <f>K62+K67+K71+K72</f>
        <v>3548.110000000001</v>
      </c>
      <c r="L74" s="31"/>
      <c r="M74" s="27">
        <f>M62+M72+M67+M71</f>
        <v>1435.12</v>
      </c>
      <c r="N74" s="27">
        <f>N62+N72+N67+N71+N73</f>
        <v>3132.4</v>
      </c>
      <c r="O74" s="31">
        <f>N74-M74</f>
        <v>1697.2800000000002</v>
      </c>
      <c r="P74" s="31">
        <f>N74/M74*100</f>
        <v>218.26746195440103</v>
      </c>
      <c r="Q74" s="31">
        <f>N74-8104.96</f>
        <v>-4972.5599999999995</v>
      </c>
      <c r="R74" s="127">
        <f>N74/8104.96</f>
        <v>0.3864793903979785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547830.4</v>
      </c>
      <c r="G75" s="44">
        <f>F75-E75</f>
        <v>1981.7600000000093</v>
      </c>
      <c r="H75" s="45">
        <f>F75/E75*100</f>
        <v>100.36306035314114</v>
      </c>
      <c r="I75" s="31">
        <f>F75-D75</f>
        <v>-77296.66999999993</v>
      </c>
      <c r="J75" s="31">
        <f>F75/D75*100</f>
        <v>87.63504674337652</v>
      </c>
      <c r="K75" s="31">
        <f>K55+K74</f>
        <v>129792.188</v>
      </c>
      <c r="L75" s="31">
        <f>F75/(F75-K75)*100</f>
        <v>131.04792439405034</v>
      </c>
      <c r="M75" s="18">
        <f>M55+M74</f>
        <v>52110.560000000005</v>
      </c>
      <c r="N75" s="18">
        <f>N55+N74</f>
        <v>32272.910000000003</v>
      </c>
      <c r="O75" s="31">
        <f>N75-M75</f>
        <v>-19837.65</v>
      </c>
      <c r="P75" s="31">
        <f>N75/M75*100</f>
        <v>61.93161232579347</v>
      </c>
      <c r="Q75" s="31">
        <f>N75-42872.96</f>
        <v>-10600.049999999996</v>
      </c>
      <c r="R75" s="127">
        <f>N75/42872.96</f>
        <v>0.752756749242413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10</v>
      </c>
      <c r="D77" s="4" t="s">
        <v>118</v>
      </c>
    </row>
    <row r="78" spans="2:17" ht="31.5">
      <c r="B78" s="71" t="s">
        <v>154</v>
      </c>
      <c r="C78" s="34">
        <f>IF(O55&lt;0,ABS(O55/C77),0)</f>
        <v>2153.493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42293</v>
      </c>
      <c r="D79" s="34">
        <v>3408.4</v>
      </c>
      <c r="G79" s="4" t="s">
        <v>166</v>
      </c>
      <c r="N79" s="252"/>
      <c r="O79" s="252"/>
    </row>
    <row r="80" spans="3:15" ht="15.75">
      <c r="C80" s="111">
        <v>42292</v>
      </c>
      <c r="D80" s="34">
        <v>3739.5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42290</v>
      </c>
      <c r="D81" s="34">
        <v>2189.1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0.47781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2"/>
      <c r="O79" s="252"/>
    </row>
    <row r="80" spans="3:15" ht="15.75">
      <c r="C80" s="111">
        <v>42276</v>
      </c>
      <c r="D80" s="34">
        <v>6511.1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42275</v>
      </c>
      <c r="D81" s="34">
        <v>4229.6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f>1507100.82/1000</f>
        <v>1507.10082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8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69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2015-10-19T07:09:10Z</cp:lastPrinted>
  <dcterms:created xsi:type="dcterms:W3CDTF">2003-07-28T11:27:56Z</dcterms:created>
  <dcterms:modified xsi:type="dcterms:W3CDTF">2015-10-19T07:20:03Z</dcterms:modified>
  <cp:category/>
  <cp:version/>
  <cp:contentType/>
  <cp:contentStatus/>
</cp:coreProperties>
</file>